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onths" sheetId="3" state="visible" r:id="rId3"/>
    <sheet xmlns:r="http://schemas.openxmlformats.org/officeDocument/2006/relationships" name="Resul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€#,##0;(€#,##0);&quot;–&quot;"/>
    <numFmt numFmtId="165" formatCode="0.0%;(0.0%);&quot;–&quot;"/>
    <numFmt numFmtId="166" formatCode="yyyy-mm-dd"/>
    <numFmt numFmtId="167" formatCode="#,##0;(#,##0);&quot;–&quot;"/>
  </numFmts>
  <fonts count="7">
    <font>
      <name val="Calibri"/>
      <family val="2"/>
      <color theme="1"/>
      <sz val="11"/>
      <scheme val="minor"/>
    </font>
    <font>
      <name val="Arial"/>
      <b val="1"/>
      <color rgb="00244062"/>
      <sz val="14"/>
    </font>
    <font>
      <name val="Arial"/>
      <i val="1"/>
      <color rgb="005C6F75"/>
      <sz val="9"/>
    </font>
    <font>
      <name val="Arial"/>
      <b val="1"/>
      <color rgb="00244062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164" fontId="5" fillId="2" borderId="0" pivotButton="0" quotePrefix="0" xfId="0"/>
    <xf numFmtId="165" fontId="5" fillId="3" borderId="0" pivotButton="0" quotePrefix="0" xfId="0"/>
    <xf numFmtId="1" fontId="5" fillId="3" borderId="0" pivotButton="0" quotePrefix="0" xfId="0"/>
    <xf numFmtId="164" fontId="4" fillId="0" borderId="0" pivotButton="0" quotePrefix="0" xfId="0"/>
    <xf numFmtId="17" fontId="5" fillId="2" borderId="0" pivotButton="0" quotePrefix="0" xfId="0"/>
    <xf numFmtId="0" fontId="6" fillId="4" borderId="0" applyAlignment="1" pivotButton="0" quotePrefix="0" xfId="0">
      <alignment vertical="center" wrapText="1"/>
    </xf>
    <xf numFmtId="1" fontId="4" fillId="0" borderId="0" pivotButton="0" quotePrefix="0" xfId="0"/>
    <xf numFmtId="17" fontId="4" fillId="0" borderId="0" pivotButton="0" quotePrefix="0" xfId="0"/>
    <xf numFmtId="0" fontId="6" fillId="0" borderId="0" pivotButton="0" quotePrefix="0" xfId="0"/>
    <xf numFmtId="167" fontId="4" fillId="0" borderId="0" pivotButton="0" quotePrefix="0" xfId="0"/>
  </cellXfs>
  <cellStyles count="1">
    <cellStyle name="Normal" xfId="0" builtinId="0" hidden="0"/>
  </cellStyles>
  <dxfs count="4">
    <dxf>
      <font>
        <color rgb="009C0006"/>
      </font>
      <fill>
        <patternFill patternType="solid">
          <fgColor rgb="00FFC7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FEB9C"/>
        </patternFill>
      </fill>
    </dxf>
    <dxf>
      <font>
        <color rgb="00375623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by case</a:t>
            </a:r>
          </a:p>
        </rich>
      </tx>
    </title>
    <plotArea>
      <lineChart>
        <grouping val="standard"/>
        <ser>
          <idx val="0"/>
          <order val="0"/>
          <tx>
            <strRef>
              <f>'Months'!F4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'Months'!$B$5:$B$28</f>
            </numRef>
          </cat>
          <val>
            <numRef>
              <f>'Months'!$F$5:$F$28</f>
            </numRef>
          </val>
        </ser>
        <ser>
          <idx val="1"/>
          <order val="1"/>
          <tx>
            <strRef>
              <f>'Months'!G4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'Months'!$B$5:$B$28</f>
            </numRef>
          </cat>
          <val>
            <numRef>
              <f>'Months'!$G$5:$G$28</f>
            </numRef>
          </val>
        </ser>
        <ser>
          <idx val="2"/>
          <order val="2"/>
          <tx>
            <strRef>
              <f>'Months'!H4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'Months'!$B$5:$B$28</f>
            </numRef>
          </cat>
          <val>
            <numRef>
              <f>'Months'!$H$5:$H$28</f>
            </numRef>
          </val>
        </ser>
        <ser>
          <idx val="3"/>
          <order val="3"/>
          <tx>
            <strRef>
              <f>'Months'!I4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'Months'!$B$5:$B$28</f>
            </numRef>
          </cat>
          <val>
            <numRef>
              <f>'Months'!$I$5:$I$28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,&quot;k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44062"/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Runway stress test: what if your round closes late?</t>
        </is>
      </c>
    </row>
    <row r="2">
      <c r="A2" s="2" t="inlineStr">
        <is>
          <t>Numeriq · free tool · Investor-Ready Financial Model</t>
        </is>
      </c>
    </row>
    <row r="3"/>
    <row r="4" ht="44" customHeight="1">
      <c r="A4" s="3" t="inlineStr">
        <is>
          <t>What it does</t>
        </is>
      </c>
      <c r="B4" s="4" t="inlineStr">
        <is>
          <t>From six numbers, shows your cash month by month for 24 months in three cases: the round closes on time, 3 months late, or 6 months late. You see the zero-cash month and the lowest cash point in each.</t>
        </is>
      </c>
    </row>
    <row r="5" ht="44" customHeight="1">
      <c r="A5" s="3" t="inlineStr">
        <is>
          <t>How to use it</t>
        </is>
      </c>
      <c r="B5" s="4" t="inlineStr">
        <is>
          <t>Go to the Inputs tab and replace the six blue numbers with yours. Read the answer on the Results tab. Nothing leaves your computer.</t>
        </is>
      </c>
    </row>
    <row r="6" ht="44" customHeight="1">
      <c r="A6" s="3" t="inlineStr">
        <is>
          <t>Colour code</t>
        </is>
      </c>
      <c r="B6" s="4" t="inlineStr">
        <is>
          <t>Blue on grey = input you change · yellow = key assumption to check · black = calculation (don't edit).</t>
        </is>
      </c>
    </row>
    <row r="7" ht="44" customHeight="1">
      <c r="A7" s="3" t="inlineStr">
        <is>
          <t>Note</t>
        </is>
      </c>
      <c r="B7" s="4" t="inlineStr">
        <is>
          <t>A quick check, not a model: it assumes revenue grows at a steady rate and costs change only by the hiring step you enter. SAMPLE DATA: fictional company. Replace the blue cells with your own numbers.</t>
        </is>
      </c>
    </row>
    <row r="8" ht="44" customHeight="1">
      <c r="A8" s="3" t="inlineStr">
        <is>
          <t>Want a second pair of eyes?</t>
        </is>
      </c>
      <c r="B8" s="4" t="inlineStr">
        <is>
          <t>Book a 20-minute call. Bring your model and what this tool showed you, and we'll tell you what we'd fix first.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DD7EE"/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70" customWidth="1" min="3" max="3"/>
  </cols>
  <sheetData>
    <row r="1">
      <c r="A1" s="1" t="inlineStr">
        <is>
          <t>Your six numbers</t>
        </is>
      </c>
    </row>
    <row r="2">
      <c r="A2" s="2" t="inlineStr">
        <is>
          <t>SAMPLE DATA: fictional company. Replace the blue cells with your own numbers.</t>
        </is>
      </c>
    </row>
    <row r="3"/>
    <row r="4"/>
    <row r="5">
      <c r="A5" s="5" t="inlineStr">
        <is>
          <t>Cash in the bank today (€)</t>
        </is>
      </c>
      <c r="B5" s="6" t="n">
        <v>1500000</v>
      </c>
    </row>
    <row r="6">
      <c r="A6" s="5" t="inlineStr">
        <is>
          <t>Monthly revenue today (€)</t>
        </is>
      </c>
      <c r="B6" s="6" t="n">
        <v>120000</v>
      </c>
    </row>
    <row r="7">
      <c r="A7" s="5" t="inlineStr">
        <is>
          <t>Monthly costs today, all in (€)</t>
        </is>
      </c>
      <c r="B7" s="6" t="n">
        <v>260000</v>
      </c>
    </row>
    <row r="8">
      <c r="A8" s="5" t="inlineStr">
        <is>
          <t>Monthly revenue growth (%)</t>
        </is>
      </c>
      <c r="B8" s="7" t="n">
        <v>0.04</v>
      </c>
    </row>
    <row r="9">
      <c r="A9" s="5" t="inlineStr">
        <is>
          <t>Extra monthly cost from planned hires (€), from month 3</t>
        </is>
      </c>
      <c r="B9" s="6" t="n">
        <v>40000</v>
      </c>
    </row>
    <row r="10">
      <c r="A10" s="5" t="inlineStr">
        <is>
          <t>Round size (€)</t>
        </is>
      </c>
      <c r="B10" s="6" t="n">
        <v>4000000</v>
      </c>
    </row>
    <row r="11">
      <c r="A11" s="5" t="inlineStr">
        <is>
          <t>Planned close: months from today</t>
        </is>
      </c>
      <c r="B11" s="8" t="n">
        <v>5</v>
      </c>
    </row>
    <row r="12"/>
    <row r="13">
      <c r="A13" s="5" t="inlineStr">
        <is>
          <t>Minimum cash you want to keep (€)</t>
        </is>
      </c>
      <c r="B13" s="9">
        <f>3*B7</f>
        <v/>
      </c>
      <c r="C13" s="2" t="inlineStr">
        <is>
          <t>Default: 3 months of today's costs. Overwrite if you have a covenant or a board rule.</t>
        </is>
      </c>
    </row>
    <row r="14">
      <c r="A14" s="5" t="inlineStr">
        <is>
          <t>Start month</t>
        </is>
      </c>
      <c r="B14" s="10" t="n">
        <v>46327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2F2F2"/>
    <outlinePr summaryBelow="1" summaryRight="1"/>
    <pageSetUpPr/>
  </sheetPr>
  <dimension ref="A1:I2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13" customWidth="1" min="3" max="3"/>
    <col width="13" customWidth="1" min="4" max="4"/>
    <col width="13" customWidth="1" min="5" max="5"/>
    <col width="16" customWidth="1" min="6" max="6"/>
    <col width="18" customWidth="1" min="7" max="7"/>
    <col width="18" customWidth="1" min="8" max="8"/>
    <col width="14" customWidth="1" min="9" max="9"/>
  </cols>
  <sheetData>
    <row r="1">
      <c r="A1" s="1" t="inlineStr">
        <is>
          <t>24 months, three cases</t>
        </is>
      </c>
    </row>
    <row r="2">
      <c r="A2" s="2" t="inlineStr">
        <is>
          <t>Calculated from the Inputs tab. Don't edit.</t>
        </is>
      </c>
    </row>
    <row r="3"/>
    <row r="4">
      <c r="A4" s="11" t="inlineStr">
        <is>
          <t>Month #</t>
        </is>
      </c>
      <c r="B4" s="11" t="inlineStr">
        <is>
          <t>Month</t>
        </is>
      </c>
      <c r="C4" s="11" t="inlineStr">
        <is>
          <t>Revenue</t>
        </is>
      </c>
      <c r="D4" s="11" t="inlineStr">
        <is>
          <t>Costs</t>
        </is>
      </c>
      <c r="E4" s="11" t="inlineStr">
        <is>
          <t>Net burn</t>
        </is>
      </c>
      <c r="F4" s="11" t="inlineStr">
        <is>
          <t>Cash: on time</t>
        </is>
      </c>
      <c r="G4" s="11" t="inlineStr">
        <is>
          <t>Cash: 3 months late</t>
        </is>
      </c>
      <c r="H4" s="11" t="inlineStr">
        <is>
          <t>Cash: 6 months late</t>
        </is>
      </c>
      <c r="I4" s="11" t="inlineStr">
        <is>
          <t>Minimum cash</t>
        </is>
      </c>
    </row>
    <row r="5">
      <c r="A5" s="12" t="n">
        <v>1</v>
      </c>
      <c r="B5" s="13">
        <f>EDATE(Inputs!$B$14,0)</f>
        <v/>
      </c>
      <c r="C5" s="9">
        <f>Inputs!$B$6*(1+Inputs!$B$8)^0</f>
        <v/>
      </c>
      <c r="D5" s="9">
        <f>Inputs!$B$7+IF(A5&gt;=3,Inputs!$B$9,0)</f>
        <v/>
      </c>
      <c r="E5" s="9">
        <f>D5-C5</f>
        <v/>
      </c>
      <c r="F5" s="9">
        <f>Inputs!$B$5-E5+IF(A5=Inputs!$B$11+0,Inputs!$B$10,0)</f>
        <v/>
      </c>
      <c r="G5" s="9">
        <f>Inputs!$B$5-E5+IF(A5=Inputs!$B$11+3,Inputs!$B$10,0)</f>
        <v/>
      </c>
      <c r="H5" s="9">
        <f>Inputs!$B$5-E5+IF(A5=Inputs!$B$11+6,Inputs!$B$10,0)</f>
        <v/>
      </c>
      <c r="I5" s="9">
        <f>Inputs!$B$13</f>
        <v/>
      </c>
    </row>
    <row r="6">
      <c r="A6" s="12" t="n">
        <v>2</v>
      </c>
      <c r="B6" s="13">
        <f>EDATE(Inputs!$B$14,1)</f>
        <v/>
      </c>
      <c r="C6" s="9">
        <f>Inputs!$B$6*(1+Inputs!$B$8)^1</f>
        <v/>
      </c>
      <c r="D6" s="9">
        <f>Inputs!$B$7+IF(A6&gt;=3,Inputs!$B$9,0)</f>
        <v/>
      </c>
      <c r="E6" s="9">
        <f>D6-C6</f>
        <v/>
      </c>
      <c r="F6" s="9">
        <f>F5-E6+IF(A6=Inputs!$B$11+0,Inputs!$B$10,0)</f>
        <v/>
      </c>
      <c r="G6" s="9">
        <f>G5-E6+IF(A6=Inputs!$B$11+3,Inputs!$B$10,0)</f>
        <v/>
      </c>
      <c r="H6" s="9">
        <f>H5-E6+IF(A6=Inputs!$B$11+6,Inputs!$B$10,0)</f>
        <v/>
      </c>
      <c r="I6" s="9">
        <f>Inputs!$B$13</f>
        <v/>
      </c>
    </row>
    <row r="7">
      <c r="A7" s="12" t="n">
        <v>3</v>
      </c>
      <c r="B7" s="13">
        <f>EDATE(Inputs!$B$14,2)</f>
        <v/>
      </c>
      <c r="C7" s="9">
        <f>Inputs!$B$6*(1+Inputs!$B$8)^2</f>
        <v/>
      </c>
      <c r="D7" s="9">
        <f>Inputs!$B$7+IF(A7&gt;=3,Inputs!$B$9,0)</f>
        <v/>
      </c>
      <c r="E7" s="9">
        <f>D7-C7</f>
        <v/>
      </c>
      <c r="F7" s="9">
        <f>F6-E7+IF(A7=Inputs!$B$11+0,Inputs!$B$10,0)</f>
        <v/>
      </c>
      <c r="G7" s="9">
        <f>G6-E7+IF(A7=Inputs!$B$11+3,Inputs!$B$10,0)</f>
        <v/>
      </c>
      <c r="H7" s="9">
        <f>H6-E7+IF(A7=Inputs!$B$11+6,Inputs!$B$10,0)</f>
        <v/>
      </c>
      <c r="I7" s="9">
        <f>Inputs!$B$13</f>
        <v/>
      </c>
    </row>
    <row r="8">
      <c r="A8" s="12" t="n">
        <v>4</v>
      </c>
      <c r="B8" s="13">
        <f>EDATE(Inputs!$B$14,3)</f>
        <v/>
      </c>
      <c r="C8" s="9">
        <f>Inputs!$B$6*(1+Inputs!$B$8)^3</f>
        <v/>
      </c>
      <c r="D8" s="9">
        <f>Inputs!$B$7+IF(A8&gt;=3,Inputs!$B$9,0)</f>
        <v/>
      </c>
      <c r="E8" s="9">
        <f>D8-C8</f>
        <v/>
      </c>
      <c r="F8" s="9">
        <f>F7-E8+IF(A8=Inputs!$B$11+0,Inputs!$B$10,0)</f>
        <v/>
      </c>
      <c r="G8" s="9">
        <f>G7-E8+IF(A8=Inputs!$B$11+3,Inputs!$B$10,0)</f>
        <v/>
      </c>
      <c r="H8" s="9">
        <f>H7-E8+IF(A8=Inputs!$B$11+6,Inputs!$B$10,0)</f>
        <v/>
      </c>
      <c r="I8" s="9">
        <f>Inputs!$B$13</f>
        <v/>
      </c>
    </row>
    <row r="9">
      <c r="A9" s="12" t="n">
        <v>5</v>
      </c>
      <c r="B9" s="13">
        <f>EDATE(Inputs!$B$14,4)</f>
        <v/>
      </c>
      <c r="C9" s="9">
        <f>Inputs!$B$6*(1+Inputs!$B$8)^4</f>
        <v/>
      </c>
      <c r="D9" s="9">
        <f>Inputs!$B$7+IF(A9&gt;=3,Inputs!$B$9,0)</f>
        <v/>
      </c>
      <c r="E9" s="9">
        <f>D9-C9</f>
        <v/>
      </c>
      <c r="F9" s="9">
        <f>F8-E9+IF(A9=Inputs!$B$11+0,Inputs!$B$10,0)</f>
        <v/>
      </c>
      <c r="G9" s="9">
        <f>G8-E9+IF(A9=Inputs!$B$11+3,Inputs!$B$10,0)</f>
        <v/>
      </c>
      <c r="H9" s="9">
        <f>H8-E9+IF(A9=Inputs!$B$11+6,Inputs!$B$10,0)</f>
        <v/>
      </c>
      <c r="I9" s="9">
        <f>Inputs!$B$13</f>
        <v/>
      </c>
    </row>
    <row r="10">
      <c r="A10" s="12" t="n">
        <v>6</v>
      </c>
      <c r="B10" s="13">
        <f>EDATE(Inputs!$B$14,5)</f>
        <v/>
      </c>
      <c r="C10" s="9">
        <f>Inputs!$B$6*(1+Inputs!$B$8)^5</f>
        <v/>
      </c>
      <c r="D10" s="9">
        <f>Inputs!$B$7+IF(A10&gt;=3,Inputs!$B$9,0)</f>
        <v/>
      </c>
      <c r="E10" s="9">
        <f>D10-C10</f>
        <v/>
      </c>
      <c r="F10" s="9">
        <f>F9-E10+IF(A10=Inputs!$B$11+0,Inputs!$B$10,0)</f>
        <v/>
      </c>
      <c r="G10" s="9">
        <f>G9-E10+IF(A10=Inputs!$B$11+3,Inputs!$B$10,0)</f>
        <v/>
      </c>
      <c r="H10" s="9">
        <f>H9-E10+IF(A10=Inputs!$B$11+6,Inputs!$B$10,0)</f>
        <v/>
      </c>
      <c r="I10" s="9">
        <f>Inputs!$B$13</f>
        <v/>
      </c>
    </row>
    <row r="11">
      <c r="A11" s="12" t="n">
        <v>7</v>
      </c>
      <c r="B11" s="13">
        <f>EDATE(Inputs!$B$14,6)</f>
        <v/>
      </c>
      <c r="C11" s="9">
        <f>Inputs!$B$6*(1+Inputs!$B$8)^6</f>
        <v/>
      </c>
      <c r="D11" s="9">
        <f>Inputs!$B$7+IF(A11&gt;=3,Inputs!$B$9,0)</f>
        <v/>
      </c>
      <c r="E11" s="9">
        <f>D11-C11</f>
        <v/>
      </c>
      <c r="F11" s="9">
        <f>F10-E11+IF(A11=Inputs!$B$11+0,Inputs!$B$10,0)</f>
        <v/>
      </c>
      <c r="G11" s="9">
        <f>G10-E11+IF(A11=Inputs!$B$11+3,Inputs!$B$10,0)</f>
        <v/>
      </c>
      <c r="H11" s="9">
        <f>H10-E11+IF(A11=Inputs!$B$11+6,Inputs!$B$10,0)</f>
        <v/>
      </c>
      <c r="I11" s="9">
        <f>Inputs!$B$13</f>
        <v/>
      </c>
    </row>
    <row r="12">
      <c r="A12" s="12" t="n">
        <v>8</v>
      </c>
      <c r="B12" s="13">
        <f>EDATE(Inputs!$B$14,7)</f>
        <v/>
      </c>
      <c r="C12" s="9">
        <f>Inputs!$B$6*(1+Inputs!$B$8)^7</f>
        <v/>
      </c>
      <c r="D12" s="9">
        <f>Inputs!$B$7+IF(A12&gt;=3,Inputs!$B$9,0)</f>
        <v/>
      </c>
      <c r="E12" s="9">
        <f>D12-C12</f>
        <v/>
      </c>
      <c r="F12" s="9">
        <f>F11-E12+IF(A12=Inputs!$B$11+0,Inputs!$B$10,0)</f>
        <v/>
      </c>
      <c r="G12" s="9">
        <f>G11-E12+IF(A12=Inputs!$B$11+3,Inputs!$B$10,0)</f>
        <v/>
      </c>
      <c r="H12" s="9">
        <f>H11-E12+IF(A12=Inputs!$B$11+6,Inputs!$B$10,0)</f>
        <v/>
      </c>
      <c r="I12" s="9">
        <f>Inputs!$B$13</f>
        <v/>
      </c>
    </row>
    <row r="13">
      <c r="A13" s="12" t="n">
        <v>9</v>
      </c>
      <c r="B13" s="13">
        <f>EDATE(Inputs!$B$14,8)</f>
        <v/>
      </c>
      <c r="C13" s="9">
        <f>Inputs!$B$6*(1+Inputs!$B$8)^8</f>
        <v/>
      </c>
      <c r="D13" s="9">
        <f>Inputs!$B$7+IF(A13&gt;=3,Inputs!$B$9,0)</f>
        <v/>
      </c>
      <c r="E13" s="9">
        <f>D13-C13</f>
        <v/>
      </c>
      <c r="F13" s="9">
        <f>F12-E13+IF(A13=Inputs!$B$11+0,Inputs!$B$10,0)</f>
        <v/>
      </c>
      <c r="G13" s="9">
        <f>G12-E13+IF(A13=Inputs!$B$11+3,Inputs!$B$10,0)</f>
        <v/>
      </c>
      <c r="H13" s="9">
        <f>H12-E13+IF(A13=Inputs!$B$11+6,Inputs!$B$10,0)</f>
        <v/>
      </c>
      <c r="I13" s="9">
        <f>Inputs!$B$13</f>
        <v/>
      </c>
    </row>
    <row r="14">
      <c r="A14" s="12" t="n">
        <v>10</v>
      </c>
      <c r="B14" s="13">
        <f>EDATE(Inputs!$B$14,9)</f>
        <v/>
      </c>
      <c r="C14" s="9">
        <f>Inputs!$B$6*(1+Inputs!$B$8)^9</f>
        <v/>
      </c>
      <c r="D14" s="9">
        <f>Inputs!$B$7+IF(A14&gt;=3,Inputs!$B$9,0)</f>
        <v/>
      </c>
      <c r="E14" s="9">
        <f>D14-C14</f>
        <v/>
      </c>
      <c r="F14" s="9">
        <f>F13-E14+IF(A14=Inputs!$B$11+0,Inputs!$B$10,0)</f>
        <v/>
      </c>
      <c r="G14" s="9">
        <f>G13-E14+IF(A14=Inputs!$B$11+3,Inputs!$B$10,0)</f>
        <v/>
      </c>
      <c r="H14" s="9">
        <f>H13-E14+IF(A14=Inputs!$B$11+6,Inputs!$B$10,0)</f>
        <v/>
      </c>
      <c r="I14" s="9">
        <f>Inputs!$B$13</f>
        <v/>
      </c>
    </row>
    <row r="15">
      <c r="A15" s="12" t="n">
        <v>11</v>
      </c>
      <c r="B15" s="13">
        <f>EDATE(Inputs!$B$14,10)</f>
        <v/>
      </c>
      <c r="C15" s="9">
        <f>Inputs!$B$6*(1+Inputs!$B$8)^10</f>
        <v/>
      </c>
      <c r="D15" s="9">
        <f>Inputs!$B$7+IF(A15&gt;=3,Inputs!$B$9,0)</f>
        <v/>
      </c>
      <c r="E15" s="9">
        <f>D15-C15</f>
        <v/>
      </c>
      <c r="F15" s="9">
        <f>F14-E15+IF(A15=Inputs!$B$11+0,Inputs!$B$10,0)</f>
        <v/>
      </c>
      <c r="G15" s="9">
        <f>G14-E15+IF(A15=Inputs!$B$11+3,Inputs!$B$10,0)</f>
        <v/>
      </c>
      <c r="H15" s="9">
        <f>H14-E15+IF(A15=Inputs!$B$11+6,Inputs!$B$10,0)</f>
        <v/>
      </c>
      <c r="I15" s="9">
        <f>Inputs!$B$13</f>
        <v/>
      </c>
    </row>
    <row r="16">
      <c r="A16" s="12" t="n">
        <v>12</v>
      </c>
      <c r="B16" s="13">
        <f>EDATE(Inputs!$B$14,11)</f>
        <v/>
      </c>
      <c r="C16" s="9">
        <f>Inputs!$B$6*(1+Inputs!$B$8)^11</f>
        <v/>
      </c>
      <c r="D16" s="9">
        <f>Inputs!$B$7+IF(A16&gt;=3,Inputs!$B$9,0)</f>
        <v/>
      </c>
      <c r="E16" s="9">
        <f>D16-C16</f>
        <v/>
      </c>
      <c r="F16" s="9">
        <f>F15-E16+IF(A16=Inputs!$B$11+0,Inputs!$B$10,0)</f>
        <v/>
      </c>
      <c r="G16" s="9">
        <f>G15-E16+IF(A16=Inputs!$B$11+3,Inputs!$B$10,0)</f>
        <v/>
      </c>
      <c r="H16" s="9">
        <f>H15-E16+IF(A16=Inputs!$B$11+6,Inputs!$B$10,0)</f>
        <v/>
      </c>
      <c r="I16" s="9">
        <f>Inputs!$B$13</f>
        <v/>
      </c>
    </row>
    <row r="17">
      <c r="A17" s="12" t="n">
        <v>13</v>
      </c>
      <c r="B17" s="13">
        <f>EDATE(Inputs!$B$14,12)</f>
        <v/>
      </c>
      <c r="C17" s="9">
        <f>Inputs!$B$6*(1+Inputs!$B$8)^12</f>
        <v/>
      </c>
      <c r="D17" s="9">
        <f>Inputs!$B$7+IF(A17&gt;=3,Inputs!$B$9,0)</f>
        <v/>
      </c>
      <c r="E17" s="9">
        <f>D17-C17</f>
        <v/>
      </c>
      <c r="F17" s="9">
        <f>F16-E17+IF(A17=Inputs!$B$11+0,Inputs!$B$10,0)</f>
        <v/>
      </c>
      <c r="G17" s="9">
        <f>G16-E17+IF(A17=Inputs!$B$11+3,Inputs!$B$10,0)</f>
        <v/>
      </c>
      <c r="H17" s="9">
        <f>H16-E17+IF(A17=Inputs!$B$11+6,Inputs!$B$10,0)</f>
        <v/>
      </c>
      <c r="I17" s="9">
        <f>Inputs!$B$13</f>
        <v/>
      </c>
    </row>
    <row r="18">
      <c r="A18" s="12" t="n">
        <v>14</v>
      </c>
      <c r="B18" s="13">
        <f>EDATE(Inputs!$B$14,13)</f>
        <v/>
      </c>
      <c r="C18" s="9">
        <f>Inputs!$B$6*(1+Inputs!$B$8)^13</f>
        <v/>
      </c>
      <c r="D18" s="9">
        <f>Inputs!$B$7+IF(A18&gt;=3,Inputs!$B$9,0)</f>
        <v/>
      </c>
      <c r="E18" s="9">
        <f>D18-C18</f>
        <v/>
      </c>
      <c r="F18" s="9">
        <f>F17-E18+IF(A18=Inputs!$B$11+0,Inputs!$B$10,0)</f>
        <v/>
      </c>
      <c r="G18" s="9">
        <f>G17-E18+IF(A18=Inputs!$B$11+3,Inputs!$B$10,0)</f>
        <v/>
      </c>
      <c r="H18" s="9">
        <f>H17-E18+IF(A18=Inputs!$B$11+6,Inputs!$B$10,0)</f>
        <v/>
      </c>
      <c r="I18" s="9">
        <f>Inputs!$B$13</f>
        <v/>
      </c>
    </row>
    <row r="19">
      <c r="A19" s="12" t="n">
        <v>15</v>
      </c>
      <c r="B19" s="13">
        <f>EDATE(Inputs!$B$14,14)</f>
        <v/>
      </c>
      <c r="C19" s="9">
        <f>Inputs!$B$6*(1+Inputs!$B$8)^14</f>
        <v/>
      </c>
      <c r="D19" s="9">
        <f>Inputs!$B$7+IF(A19&gt;=3,Inputs!$B$9,0)</f>
        <v/>
      </c>
      <c r="E19" s="9">
        <f>D19-C19</f>
        <v/>
      </c>
      <c r="F19" s="9">
        <f>F18-E19+IF(A19=Inputs!$B$11+0,Inputs!$B$10,0)</f>
        <v/>
      </c>
      <c r="G19" s="9">
        <f>G18-E19+IF(A19=Inputs!$B$11+3,Inputs!$B$10,0)</f>
        <v/>
      </c>
      <c r="H19" s="9">
        <f>H18-E19+IF(A19=Inputs!$B$11+6,Inputs!$B$10,0)</f>
        <v/>
      </c>
      <c r="I19" s="9">
        <f>Inputs!$B$13</f>
        <v/>
      </c>
    </row>
    <row r="20">
      <c r="A20" s="12" t="n">
        <v>16</v>
      </c>
      <c r="B20" s="13">
        <f>EDATE(Inputs!$B$14,15)</f>
        <v/>
      </c>
      <c r="C20" s="9">
        <f>Inputs!$B$6*(1+Inputs!$B$8)^15</f>
        <v/>
      </c>
      <c r="D20" s="9">
        <f>Inputs!$B$7+IF(A20&gt;=3,Inputs!$B$9,0)</f>
        <v/>
      </c>
      <c r="E20" s="9">
        <f>D20-C20</f>
        <v/>
      </c>
      <c r="F20" s="9">
        <f>F19-E20+IF(A20=Inputs!$B$11+0,Inputs!$B$10,0)</f>
        <v/>
      </c>
      <c r="G20" s="9">
        <f>G19-E20+IF(A20=Inputs!$B$11+3,Inputs!$B$10,0)</f>
        <v/>
      </c>
      <c r="H20" s="9">
        <f>H19-E20+IF(A20=Inputs!$B$11+6,Inputs!$B$10,0)</f>
        <v/>
      </c>
      <c r="I20" s="9">
        <f>Inputs!$B$13</f>
        <v/>
      </c>
    </row>
    <row r="21">
      <c r="A21" s="12" t="n">
        <v>17</v>
      </c>
      <c r="B21" s="13">
        <f>EDATE(Inputs!$B$14,16)</f>
        <v/>
      </c>
      <c r="C21" s="9">
        <f>Inputs!$B$6*(1+Inputs!$B$8)^16</f>
        <v/>
      </c>
      <c r="D21" s="9">
        <f>Inputs!$B$7+IF(A21&gt;=3,Inputs!$B$9,0)</f>
        <v/>
      </c>
      <c r="E21" s="9">
        <f>D21-C21</f>
        <v/>
      </c>
      <c r="F21" s="9">
        <f>F20-E21+IF(A21=Inputs!$B$11+0,Inputs!$B$10,0)</f>
        <v/>
      </c>
      <c r="G21" s="9">
        <f>G20-E21+IF(A21=Inputs!$B$11+3,Inputs!$B$10,0)</f>
        <v/>
      </c>
      <c r="H21" s="9">
        <f>H20-E21+IF(A21=Inputs!$B$11+6,Inputs!$B$10,0)</f>
        <v/>
      </c>
      <c r="I21" s="9">
        <f>Inputs!$B$13</f>
        <v/>
      </c>
    </row>
    <row r="22">
      <c r="A22" s="12" t="n">
        <v>18</v>
      </c>
      <c r="B22" s="13">
        <f>EDATE(Inputs!$B$14,17)</f>
        <v/>
      </c>
      <c r="C22" s="9">
        <f>Inputs!$B$6*(1+Inputs!$B$8)^17</f>
        <v/>
      </c>
      <c r="D22" s="9">
        <f>Inputs!$B$7+IF(A22&gt;=3,Inputs!$B$9,0)</f>
        <v/>
      </c>
      <c r="E22" s="9">
        <f>D22-C22</f>
        <v/>
      </c>
      <c r="F22" s="9">
        <f>F21-E22+IF(A22=Inputs!$B$11+0,Inputs!$B$10,0)</f>
        <v/>
      </c>
      <c r="G22" s="9">
        <f>G21-E22+IF(A22=Inputs!$B$11+3,Inputs!$B$10,0)</f>
        <v/>
      </c>
      <c r="H22" s="9">
        <f>H21-E22+IF(A22=Inputs!$B$11+6,Inputs!$B$10,0)</f>
        <v/>
      </c>
      <c r="I22" s="9">
        <f>Inputs!$B$13</f>
        <v/>
      </c>
    </row>
    <row r="23">
      <c r="A23" s="12" t="n">
        <v>19</v>
      </c>
      <c r="B23" s="13">
        <f>EDATE(Inputs!$B$14,18)</f>
        <v/>
      </c>
      <c r="C23" s="9">
        <f>Inputs!$B$6*(1+Inputs!$B$8)^18</f>
        <v/>
      </c>
      <c r="D23" s="9">
        <f>Inputs!$B$7+IF(A23&gt;=3,Inputs!$B$9,0)</f>
        <v/>
      </c>
      <c r="E23" s="9">
        <f>D23-C23</f>
        <v/>
      </c>
      <c r="F23" s="9">
        <f>F22-E23+IF(A23=Inputs!$B$11+0,Inputs!$B$10,0)</f>
        <v/>
      </c>
      <c r="G23" s="9">
        <f>G22-E23+IF(A23=Inputs!$B$11+3,Inputs!$B$10,0)</f>
        <v/>
      </c>
      <c r="H23" s="9">
        <f>H22-E23+IF(A23=Inputs!$B$11+6,Inputs!$B$10,0)</f>
        <v/>
      </c>
      <c r="I23" s="9">
        <f>Inputs!$B$13</f>
        <v/>
      </c>
    </row>
    <row r="24">
      <c r="A24" s="12" t="n">
        <v>20</v>
      </c>
      <c r="B24" s="13">
        <f>EDATE(Inputs!$B$14,19)</f>
        <v/>
      </c>
      <c r="C24" s="9">
        <f>Inputs!$B$6*(1+Inputs!$B$8)^19</f>
        <v/>
      </c>
      <c r="D24" s="9">
        <f>Inputs!$B$7+IF(A24&gt;=3,Inputs!$B$9,0)</f>
        <v/>
      </c>
      <c r="E24" s="9">
        <f>D24-C24</f>
        <v/>
      </c>
      <c r="F24" s="9">
        <f>F23-E24+IF(A24=Inputs!$B$11+0,Inputs!$B$10,0)</f>
        <v/>
      </c>
      <c r="G24" s="9">
        <f>G23-E24+IF(A24=Inputs!$B$11+3,Inputs!$B$10,0)</f>
        <v/>
      </c>
      <c r="H24" s="9">
        <f>H23-E24+IF(A24=Inputs!$B$11+6,Inputs!$B$10,0)</f>
        <v/>
      </c>
      <c r="I24" s="9">
        <f>Inputs!$B$13</f>
        <v/>
      </c>
    </row>
    <row r="25">
      <c r="A25" s="12" t="n">
        <v>21</v>
      </c>
      <c r="B25" s="13">
        <f>EDATE(Inputs!$B$14,20)</f>
        <v/>
      </c>
      <c r="C25" s="9">
        <f>Inputs!$B$6*(1+Inputs!$B$8)^20</f>
        <v/>
      </c>
      <c r="D25" s="9">
        <f>Inputs!$B$7+IF(A25&gt;=3,Inputs!$B$9,0)</f>
        <v/>
      </c>
      <c r="E25" s="9">
        <f>D25-C25</f>
        <v/>
      </c>
      <c r="F25" s="9">
        <f>F24-E25+IF(A25=Inputs!$B$11+0,Inputs!$B$10,0)</f>
        <v/>
      </c>
      <c r="G25" s="9">
        <f>G24-E25+IF(A25=Inputs!$B$11+3,Inputs!$B$10,0)</f>
        <v/>
      </c>
      <c r="H25" s="9">
        <f>H24-E25+IF(A25=Inputs!$B$11+6,Inputs!$B$10,0)</f>
        <v/>
      </c>
      <c r="I25" s="9">
        <f>Inputs!$B$13</f>
        <v/>
      </c>
    </row>
    <row r="26">
      <c r="A26" s="12" t="n">
        <v>22</v>
      </c>
      <c r="B26" s="13">
        <f>EDATE(Inputs!$B$14,21)</f>
        <v/>
      </c>
      <c r="C26" s="9">
        <f>Inputs!$B$6*(1+Inputs!$B$8)^21</f>
        <v/>
      </c>
      <c r="D26" s="9">
        <f>Inputs!$B$7+IF(A26&gt;=3,Inputs!$B$9,0)</f>
        <v/>
      </c>
      <c r="E26" s="9">
        <f>D26-C26</f>
        <v/>
      </c>
      <c r="F26" s="9">
        <f>F25-E26+IF(A26=Inputs!$B$11+0,Inputs!$B$10,0)</f>
        <v/>
      </c>
      <c r="G26" s="9">
        <f>G25-E26+IF(A26=Inputs!$B$11+3,Inputs!$B$10,0)</f>
        <v/>
      </c>
      <c r="H26" s="9">
        <f>H25-E26+IF(A26=Inputs!$B$11+6,Inputs!$B$10,0)</f>
        <v/>
      </c>
      <c r="I26" s="9">
        <f>Inputs!$B$13</f>
        <v/>
      </c>
    </row>
    <row r="27">
      <c r="A27" s="12" t="n">
        <v>23</v>
      </c>
      <c r="B27" s="13">
        <f>EDATE(Inputs!$B$14,22)</f>
        <v/>
      </c>
      <c r="C27" s="9">
        <f>Inputs!$B$6*(1+Inputs!$B$8)^22</f>
        <v/>
      </c>
      <c r="D27" s="9">
        <f>Inputs!$B$7+IF(A27&gt;=3,Inputs!$B$9,0)</f>
        <v/>
      </c>
      <c r="E27" s="9">
        <f>D27-C27</f>
        <v/>
      </c>
      <c r="F27" s="9">
        <f>F26-E27+IF(A27=Inputs!$B$11+0,Inputs!$B$10,0)</f>
        <v/>
      </c>
      <c r="G27" s="9">
        <f>G26-E27+IF(A27=Inputs!$B$11+3,Inputs!$B$10,0)</f>
        <v/>
      </c>
      <c r="H27" s="9">
        <f>H26-E27+IF(A27=Inputs!$B$11+6,Inputs!$B$10,0)</f>
        <v/>
      </c>
      <c r="I27" s="9">
        <f>Inputs!$B$13</f>
        <v/>
      </c>
    </row>
    <row r="28">
      <c r="A28" s="12" t="n">
        <v>24</v>
      </c>
      <c r="B28" s="13">
        <f>EDATE(Inputs!$B$14,23)</f>
        <v/>
      </c>
      <c r="C28" s="9">
        <f>Inputs!$B$6*(1+Inputs!$B$8)^23</f>
        <v/>
      </c>
      <c r="D28" s="9">
        <f>Inputs!$B$7+IF(A28&gt;=3,Inputs!$B$9,0)</f>
        <v/>
      </c>
      <c r="E28" s="9">
        <f>D28-C28</f>
        <v/>
      </c>
      <c r="F28" s="9">
        <f>F27-E28+IF(A28=Inputs!$B$11+0,Inputs!$B$10,0)</f>
        <v/>
      </c>
      <c r="G28" s="9">
        <f>G27-E28+IF(A28=Inputs!$B$11+3,Inputs!$B$10,0)</f>
        <v/>
      </c>
      <c r="H28" s="9">
        <f>H27-E28+IF(A28=Inputs!$B$11+6,Inputs!$B$10,0)</f>
        <v/>
      </c>
      <c r="I28" s="9">
        <f>Inputs!$B$13</f>
        <v/>
      </c>
    </row>
  </sheetData>
  <conditionalFormatting sqref="F5:F28">
    <cfRule type="expression" priority="1" dxfId="0">
      <formula>F5&lt;$I5</formula>
    </cfRule>
  </conditionalFormatting>
  <conditionalFormatting sqref="G5:G28">
    <cfRule type="expression" priority="2" dxfId="0">
      <formula>G5&lt;$I5</formula>
    </cfRule>
  </conditionalFormatting>
  <conditionalFormatting sqref="H5:H28">
    <cfRule type="expression" priority="3" dxfId="0">
      <formula>H5&lt;$I5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538DD5"/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20" customWidth="1" min="3" max="3"/>
    <col width="24" customWidth="1" min="4" max="4"/>
    <col width="26" customWidth="1" min="5" max="5"/>
  </cols>
  <sheetData>
    <row r="1">
      <c r="A1" s="1" t="inlineStr">
        <is>
          <t>Your answer</t>
        </is>
      </c>
    </row>
    <row r="2">
      <c r="A2" s="2" t="inlineStr">
        <is>
          <t>If cash drops below your minimum before the money lands, the 'late' cases show when and by how much.</t>
        </is>
      </c>
    </row>
    <row r="3"/>
    <row r="4">
      <c r="A4" s="11" t="inlineStr">
        <is>
          <t>Case</t>
        </is>
      </c>
      <c r="B4" s="11" t="inlineStr">
        <is>
          <t>Lowest cash (€)</t>
        </is>
      </c>
      <c r="C4" s="11" t="inlineStr">
        <is>
          <t>Month of lowest cash</t>
        </is>
      </c>
      <c r="D4" s="11" t="inlineStr">
        <is>
          <t>First month below minimum</t>
        </is>
      </c>
      <c r="E4" s="11" t="inlineStr">
        <is>
          <t>Runs out of cash?</t>
        </is>
      </c>
    </row>
    <row r="5">
      <c r="A5" s="14" t="inlineStr">
        <is>
          <t>Round closes on time</t>
        </is>
      </c>
      <c r="B5" s="9">
        <f>MIN(Months!F5:F28)</f>
        <v/>
      </c>
      <c r="C5" s="13">
        <f>INDEX(Months!$B$5:$B$28,MATCH(B5,Months!F5:F28,0))</f>
        <v/>
      </c>
      <c r="D5" s="13">
        <f>IFERROR(INDEX(Months!$B$5:$B$28,MATCH(1,INDEX((Months!F5:F28&lt;Months!$I$5:$I$28)*1,0),0)),"Never")</f>
        <v/>
      </c>
      <c r="E5" s="15">
        <f>IF(B5&lt;0,"YES: cash goes negative",IF(D5="Never","No","Below your minimum"))</f>
        <v/>
      </c>
    </row>
    <row r="6">
      <c r="A6" s="14" t="inlineStr">
        <is>
          <t>Round closes 3 months late</t>
        </is>
      </c>
      <c r="B6" s="9">
        <f>MIN(Months!G5:G28)</f>
        <v/>
      </c>
      <c r="C6" s="13">
        <f>INDEX(Months!$B$5:$B$28,MATCH(B6,Months!G5:G28,0))</f>
        <v/>
      </c>
      <c r="D6" s="13">
        <f>IFERROR(INDEX(Months!$B$5:$B$28,MATCH(1,INDEX((Months!G5:G28&lt;Months!$I$5:$I$28)*1,0),0)),"Never")</f>
        <v/>
      </c>
      <c r="E6" s="15">
        <f>IF(B6&lt;0,"YES: cash goes negative",IF(D6="Never","No","Below your minimum"))</f>
        <v/>
      </c>
    </row>
    <row r="7">
      <c r="A7" s="14" t="inlineStr">
        <is>
          <t>Round closes 6 months late</t>
        </is>
      </c>
      <c r="B7" s="9">
        <f>MIN(Months!H5:H28)</f>
        <v/>
      </c>
      <c r="C7" s="13">
        <f>INDEX(Months!$B$5:$B$28,MATCH(B7,Months!H5:H28,0))</f>
        <v/>
      </c>
      <c r="D7" s="13">
        <f>IFERROR(INDEX(Months!$B$5:$B$28,MATCH(1,INDEX((Months!H5:H28&lt;Months!$I$5:$I$28)*1,0),0)),"Never")</f>
        <v/>
      </c>
      <c r="E7" s="15">
        <f>IF(B7&lt;0,"YES: cash goes negative",IF(D7="Never","No","Below your minimum"))</f>
        <v/>
      </c>
    </row>
    <row r="8"/>
    <row r="9">
      <c r="A9" s="14" t="inlineStr">
        <is>
          <t>What to do with this</t>
        </is>
      </c>
    </row>
    <row r="10">
      <c r="A10" s="2" t="inlineStr">
        <is>
          <t>If the 6-months-late case runs out: decide now which costs you would stop, and from which month. Investors ask exactly this.</t>
        </is>
      </c>
    </row>
    <row r="11">
      <c r="A11" s="2" t="inlineStr">
        <is>
          <t>If even the on-time case goes below your minimum: the round is too small or too late. That's a conversation for the board before investors.</t>
        </is>
      </c>
    </row>
  </sheetData>
  <conditionalFormatting sqref="E5:E7">
    <cfRule type="expression" priority="1" dxfId="1">
      <formula>LEFT(E5,3)="YES"</formula>
    </cfRule>
    <cfRule type="expression" priority="2" dxfId="2">
      <formula>E5="Below your minimum"</formula>
    </cfRule>
    <cfRule type="expression" priority="3" dxfId="3">
      <formula>E5="No"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2026-10-16T22:04:54Z</dcterms:created>
  <dcterms:modified xmlns:dcterms="http://purl.org/dc/terms/" xmlns:xsi="http://www.w3.org/2001/XMLSchema-instance" xsi:type="dcterms:W3CDTF">2026-10-16T22:04:54Z</dcterms:modified>
</cp:coreProperties>
</file>